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95" windowHeight="7680"/>
  </bookViews>
  <sheets>
    <sheet name="Feuil1" sheetId="1" r:id="rId1"/>
  </sheets>
  <calcPr calcId="144525"/>
</workbook>
</file>

<file path=xl/calcChain.xml><?xml version="1.0" encoding="utf-8"?>
<calcChain xmlns="http://schemas.openxmlformats.org/spreadsheetml/2006/main">
  <c r="R23" i="1" l="1"/>
  <c r="Q23" i="1"/>
  <c r="W23" i="1" s="1"/>
  <c r="W21" i="1"/>
  <c r="S21" i="1"/>
  <c r="V21" i="1" s="1"/>
  <c r="K21" i="1"/>
  <c r="L21" i="1" s="1"/>
  <c r="F21" i="1"/>
  <c r="G21" i="1" s="1"/>
  <c r="M21" i="1" s="1"/>
  <c r="W20" i="1"/>
  <c r="V20" i="1"/>
  <c r="T20" i="1"/>
  <c r="U20" i="1" s="1"/>
  <c r="S20" i="1"/>
  <c r="K20" i="1"/>
  <c r="L20" i="1" s="1"/>
  <c r="F20" i="1"/>
  <c r="G20" i="1" s="1"/>
  <c r="M20" i="1" s="1"/>
  <c r="W19" i="1"/>
  <c r="V19" i="1"/>
  <c r="T19" i="1"/>
  <c r="U19" i="1" s="1"/>
  <c r="S19" i="1"/>
  <c r="K19" i="1"/>
  <c r="L19" i="1" s="1"/>
  <c r="F19" i="1"/>
  <c r="G19" i="1" s="1"/>
  <c r="M19" i="1" s="1"/>
  <c r="W18" i="1"/>
  <c r="V18" i="1"/>
  <c r="T18" i="1"/>
  <c r="U18" i="1" s="1"/>
  <c r="S18" i="1"/>
  <c r="N18" i="1"/>
  <c r="N23" i="1" s="1"/>
  <c r="J18" i="1"/>
  <c r="J23" i="1" s="1"/>
  <c r="I18" i="1"/>
  <c r="I23" i="1" s="1"/>
  <c r="H18" i="1"/>
  <c r="H23" i="1" s="1"/>
  <c r="E18" i="1"/>
  <c r="E23" i="1" s="1"/>
  <c r="D18" i="1"/>
  <c r="F18" i="1" s="1"/>
  <c r="G18" i="1" s="1"/>
  <c r="C18" i="1"/>
  <c r="C23" i="1" s="1"/>
  <c r="V17" i="1"/>
  <c r="T17" i="1"/>
  <c r="U17" i="1" s="1"/>
  <c r="S17" i="1"/>
  <c r="K17" i="1"/>
  <c r="L17" i="1" s="1"/>
  <c r="F17" i="1"/>
  <c r="G17" i="1" s="1"/>
  <c r="M17" i="1" s="1"/>
  <c r="W16" i="1"/>
  <c r="V16" i="1"/>
  <c r="T16" i="1"/>
  <c r="S16" i="1"/>
  <c r="S23" i="1" s="1"/>
  <c r="V23" i="1" s="1"/>
  <c r="K16" i="1"/>
  <c r="F16" i="1"/>
  <c r="F23" i="1" s="1"/>
  <c r="P17" i="1" l="1"/>
  <c r="O17" i="1"/>
  <c r="P19" i="1"/>
  <c r="O19" i="1"/>
  <c r="P20" i="1"/>
  <c r="O20" i="1"/>
  <c r="P21" i="1"/>
  <c r="O21" i="1"/>
  <c r="G16" i="1"/>
  <c r="G23" i="1" s="1"/>
  <c r="L16" i="1"/>
  <c r="U16" i="1"/>
  <c r="K18" i="1"/>
  <c r="L18" i="1" s="1"/>
  <c r="M18" i="1" s="1"/>
  <c r="D23" i="1"/>
  <c r="T21" i="1"/>
  <c r="U21" i="1" s="1"/>
  <c r="P18" i="1" l="1"/>
  <c r="O18" i="1"/>
  <c r="M16" i="1"/>
  <c r="L23" i="1"/>
  <c r="K23" i="1"/>
  <c r="T23" i="1"/>
  <c r="U23" i="1" s="1"/>
  <c r="M23" i="1" l="1"/>
  <c r="O23" i="1" s="1"/>
  <c r="P23" i="1" s="1"/>
  <c r="P16" i="1"/>
  <c r="O16" i="1"/>
</calcChain>
</file>

<file path=xl/sharedStrings.xml><?xml version="1.0" encoding="utf-8"?>
<sst xmlns="http://schemas.openxmlformats.org/spreadsheetml/2006/main" count="104" uniqueCount="75">
  <si>
    <t>TABLEAU XVa : SITUATION ANALYTIQUE DES RESERVES OBLIGATOIRES</t>
  </si>
  <si>
    <t xml:space="preserve">                              SITUATION AU 31 OCTOBRE 2010 (Calculée le 10 novembre 2010)</t>
  </si>
  <si>
    <t>SITUATION CONSOLIDEE DE LA CEMAC</t>
  </si>
  <si>
    <t xml:space="preserve"> </t>
  </si>
  <si>
    <t>(Situation de fin de période - Montants en millions de FCFA)</t>
  </si>
  <si>
    <t>DEPOTS A VUE  (DAV)</t>
  </si>
  <si>
    <t>DEPOTS A TERME  (DAT)</t>
  </si>
  <si>
    <t>AJUSTEMENTS</t>
  </si>
  <si>
    <t>PLACEMENTS</t>
  </si>
  <si>
    <t>SOLDES DES</t>
  </si>
  <si>
    <t>Moyenne des</t>
  </si>
  <si>
    <t>Réserves à</t>
  </si>
  <si>
    <t xml:space="preserve">Réserves à </t>
  </si>
  <si>
    <t>RESERVES</t>
  </si>
  <si>
    <t>TOTAL DES</t>
  </si>
  <si>
    <t>BANCAIRES</t>
  </si>
  <si>
    <t>COMPTES</t>
  </si>
  <si>
    <t xml:space="preserve">Situation au </t>
  </si>
  <si>
    <t>Situation au</t>
  </si>
  <si>
    <t>dépôts à vue</t>
  </si>
  <si>
    <t>constituer sur</t>
  </si>
  <si>
    <t>dépôts à terme</t>
  </si>
  <si>
    <t>constituer</t>
  </si>
  <si>
    <t>A</t>
  </si>
  <si>
    <t>DEJA</t>
  </si>
  <si>
    <t>EN APPELS</t>
  </si>
  <si>
    <t>COURANTS</t>
  </si>
  <si>
    <t>LIBRES DES</t>
  </si>
  <si>
    <t>RATIO</t>
  </si>
  <si>
    <t>ETATS</t>
  </si>
  <si>
    <t>(1+2+3)/3</t>
  </si>
  <si>
    <t>les DAV</t>
  </si>
  <si>
    <t>(7 + 8 + 9)/3</t>
  </si>
  <si>
    <t>sur les DAT</t>
  </si>
  <si>
    <t>CONSTITUER</t>
  </si>
  <si>
    <t>CONSTITUEES</t>
  </si>
  <si>
    <t>EXCEDENTS</t>
  </si>
  <si>
    <t>INSUFFISANCES</t>
  </si>
  <si>
    <t>OBLIGATOIRES</t>
  </si>
  <si>
    <t>D'OFFRES</t>
  </si>
  <si>
    <t>DES BANQUES</t>
  </si>
  <si>
    <t>BANQUES</t>
  </si>
  <si>
    <t>RO/RL</t>
  </si>
  <si>
    <t>RO/C/C</t>
  </si>
  <si>
    <t>RO/PLACEMENTS</t>
  </si>
  <si>
    <t>(6) + (11)</t>
  </si>
  <si>
    <t>NEGATIFS</t>
  </si>
  <si>
    <t>(18) + (19)</t>
  </si>
  <si>
    <t>(1)</t>
  </si>
  <si>
    <t>(2)</t>
  </si>
  <si>
    <t>(3)</t>
  </si>
  <si>
    <t>(4)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</si>
  <si>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</si>
  <si>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</si>
  <si>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</si>
  <si>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</si>
  <si>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</si>
  <si>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</si>
  <si>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</si>
  <si>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</si>
  <si>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</si>
  <si>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</si>
  <si>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(17)</t>
  </si>
  <si>
    <t>(19)</t>
  </si>
  <si>
    <t>(20)</t>
  </si>
  <si>
    <t>(18)</t>
  </si>
  <si>
    <t>CAMEROUN</t>
  </si>
  <si>
    <t>CENTRAFRIQUE (*)</t>
  </si>
  <si>
    <t xml:space="preserve"> -</t>
  </si>
  <si>
    <t>CONGO</t>
  </si>
  <si>
    <t>GABON</t>
  </si>
  <si>
    <t xml:space="preserve">GUINEE EQ.  </t>
  </si>
  <si>
    <t>TCHAD</t>
  </si>
  <si>
    <t>TOTAL CEMAC</t>
  </si>
  <si>
    <t>(*)  Le Gouverneur a décidé, le 22 mai 2003, d'exempter les banques de la RCA de la constitution des réserves obligatoires.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</si>
</sst>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0" fontId="2" fillId="0" borderId="13" xfId="0" applyFont="1" applyBorder="1"/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1" fillId="0" borderId="14" xfId="0" applyFont="1" applyBorder="1"/>
    <xf numFmtId="0" fontId="2" fillId="0" borderId="14" xfId="0" applyFont="1" applyBorder="1"/>
    <xf numFmtId="49" fontId="2" fillId="0" borderId="14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15" xfId="0" applyFont="1" applyBorder="1"/>
    <xf numFmtId="0" fontId="2" fillId="0" borderId="9" xfId="0" applyFont="1" applyBorder="1"/>
    <xf numFmtId="3" fontId="1" fillId="2" borderId="9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2" fillId="0" borderId="9" xfId="0" applyFont="1" applyFill="1" applyBorder="1"/>
    <xf numFmtId="3" fontId="4" fillId="2" borderId="9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3" fontId="2" fillId="0" borderId="11" xfId="0" applyNumberFormat="1" applyFont="1" applyBorder="1" applyAlignment="1"/>
    <xf numFmtId="0" fontId="2" fillId="0" borderId="14" xfId="0" applyFont="1" applyBorder="1" applyAlignment="1"/>
    <xf numFmtId="164" fontId="1" fillId="0" borderId="11" xfId="0" applyNumberFormat="1" applyFont="1" applyBorder="1"/>
    <xf numFmtId="164" fontId="4" fillId="0" borderId="15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workbookViewId="0">
      <selection activeCell="K19" sqref="K19"/>
    </sheetView>
  </sheetViews>
  <sheetFormatPr baseColWidth="10" defaultRowHeight="15" x14ac:dyDescent="0.25"/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1"/>
      <c r="B3" s="3"/>
      <c r="C3" s="1"/>
      <c r="D3" s="1"/>
      <c r="E3" s="1"/>
      <c r="F3" s="1"/>
      <c r="G3" s="1"/>
      <c r="H3" s="1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1"/>
      <c r="B5" s="3"/>
      <c r="C5" s="3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1"/>
      <c r="B7" s="7" t="s">
        <v>2</v>
      </c>
      <c r="C7" s="7"/>
      <c r="D7" s="7"/>
      <c r="E7" s="7"/>
      <c r="F7" s="7"/>
      <c r="G7" s="1"/>
      <c r="H7" s="1"/>
      <c r="I7" s="1"/>
      <c r="J7" s="1"/>
      <c r="K7" s="4"/>
      <c r="L7" s="1"/>
      <c r="M7" s="1" t="s">
        <v>3</v>
      </c>
      <c r="N7" s="8"/>
      <c r="O7" s="1" t="s">
        <v>3</v>
      </c>
      <c r="P7" s="1"/>
      <c r="Q7" s="1"/>
      <c r="R7" s="9" t="s">
        <v>4</v>
      </c>
      <c r="S7" s="9"/>
      <c r="T7" s="9"/>
      <c r="U7" s="9"/>
      <c r="V7" s="9"/>
      <c r="W7" s="9"/>
    </row>
    <row r="8" spans="1:23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thickBot="1" x14ac:dyDescent="0.3">
      <c r="A9" s="10"/>
      <c r="B9" s="11"/>
      <c r="C9" s="12" t="s">
        <v>5</v>
      </c>
      <c r="D9" s="13"/>
      <c r="E9" s="13"/>
      <c r="F9" s="13"/>
      <c r="G9" s="14"/>
      <c r="H9" s="12" t="s">
        <v>6</v>
      </c>
      <c r="I9" s="13"/>
      <c r="J9" s="13"/>
      <c r="K9" s="13"/>
      <c r="L9" s="14"/>
      <c r="M9" s="15"/>
      <c r="N9" s="16"/>
      <c r="O9" s="17" t="s">
        <v>7</v>
      </c>
      <c r="P9" s="18"/>
      <c r="Q9" s="19" t="s">
        <v>3</v>
      </c>
      <c r="R9" s="19" t="s">
        <v>8</v>
      </c>
      <c r="S9" s="19" t="s">
        <v>9</v>
      </c>
      <c r="T9" s="19" t="s">
        <v>3</v>
      </c>
      <c r="U9" s="19"/>
      <c r="V9" s="20"/>
      <c r="W9" s="21"/>
    </row>
    <row r="10" spans="1:23" ht="15.75" thickBot="1" x14ac:dyDescent="0.3">
      <c r="A10" s="22"/>
      <c r="B10" s="23"/>
      <c r="C10" s="24"/>
      <c r="D10" s="24"/>
      <c r="E10" s="24"/>
      <c r="F10" s="24" t="s">
        <v>10</v>
      </c>
      <c r="G10" s="24" t="s">
        <v>11</v>
      </c>
      <c r="H10" s="24"/>
      <c r="I10" s="24"/>
      <c r="J10" s="24"/>
      <c r="K10" s="24" t="s">
        <v>10</v>
      </c>
      <c r="L10" s="24" t="s">
        <v>12</v>
      </c>
      <c r="M10" s="24" t="s">
        <v>13</v>
      </c>
      <c r="N10" s="25" t="s">
        <v>13</v>
      </c>
      <c r="O10" s="26"/>
      <c r="P10" s="27"/>
      <c r="Q10" s="24" t="s">
        <v>14</v>
      </c>
      <c r="R10" s="24" t="s">
        <v>15</v>
      </c>
      <c r="S10" s="24" t="s">
        <v>16</v>
      </c>
      <c r="T10" s="24" t="s">
        <v>13</v>
      </c>
      <c r="U10" s="24"/>
      <c r="V10" s="25"/>
      <c r="W10" s="28"/>
    </row>
    <row r="11" spans="1:23" x14ac:dyDescent="0.25">
      <c r="A11" s="22"/>
      <c r="B11" s="24" t="s">
        <v>3</v>
      </c>
      <c r="C11" s="24" t="s">
        <v>17</v>
      </c>
      <c r="D11" s="24" t="s">
        <v>18</v>
      </c>
      <c r="E11" s="24" t="s">
        <v>18</v>
      </c>
      <c r="F11" s="24" t="s">
        <v>19</v>
      </c>
      <c r="G11" s="24" t="s">
        <v>20</v>
      </c>
      <c r="H11" s="24" t="s">
        <v>18</v>
      </c>
      <c r="I11" s="24" t="s">
        <v>18</v>
      </c>
      <c r="J11" s="24" t="s">
        <v>18</v>
      </c>
      <c r="K11" s="24" t="s">
        <v>21</v>
      </c>
      <c r="L11" s="24" t="s">
        <v>22</v>
      </c>
      <c r="M11" s="24" t="s">
        <v>23</v>
      </c>
      <c r="N11" s="24" t="s">
        <v>24</v>
      </c>
      <c r="O11" s="24"/>
      <c r="P11" s="24"/>
      <c r="Q11" s="24" t="s">
        <v>13</v>
      </c>
      <c r="R11" s="24" t="s">
        <v>25</v>
      </c>
      <c r="S11" s="24" t="s">
        <v>26</v>
      </c>
      <c r="T11" s="24" t="s">
        <v>27</v>
      </c>
      <c r="U11" s="24" t="s">
        <v>28</v>
      </c>
      <c r="V11" s="25" t="s">
        <v>28</v>
      </c>
      <c r="W11" s="28" t="s">
        <v>28</v>
      </c>
    </row>
    <row r="12" spans="1:23" x14ac:dyDescent="0.25">
      <c r="A12" s="22"/>
      <c r="B12" s="24" t="s">
        <v>29</v>
      </c>
      <c r="C12" s="29">
        <v>40461</v>
      </c>
      <c r="D12" s="29">
        <v>40471</v>
      </c>
      <c r="E12" s="29">
        <v>40482</v>
      </c>
      <c r="F12" s="24" t="s">
        <v>30</v>
      </c>
      <c r="G12" s="24" t="s">
        <v>31</v>
      </c>
      <c r="H12" s="29">
        <v>40461</v>
      </c>
      <c r="I12" s="29">
        <v>40471</v>
      </c>
      <c r="J12" s="29">
        <v>40482</v>
      </c>
      <c r="K12" s="24" t="s">
        <v>32</v>
      </c>
      <c r="L12" s="24" t="s">
        <v>33</v>
      </c>
      <c r="M12" s="24" t="s">
        <v>34</v>
      </c>
      <c r="N12" s="24" t="s">
        <v>35</v>
      </c>
      <c r="O12" s="24" t="s">
        <v>36</v>
      </c>
      <c r="P12" s="24" t="s">
        <v>37</v>
      </c>
      <c r="Q12" s="24" t="s">
        <v>38</v>
      </c>
      <c r="R12" s="24" t="s">
        <v>39</v>
      </c>
      <c r="S12" s="24" t="s">
        <v>40</v>
      </c>
      <c r="T12" s="24" t="s">
        <v>41</v>
      </c>
      <c r="U12" s="24" t="s">
        <v>42</v>
      </c>
      <c r="V12" s="25" t="s">
        <v>43</v>
      </c>
      <c r="W12" s="28" t="s">
        <v>44</v>
      </c>
    </row>
    <row r="13" spans="1:23" x14ac:dyDescent="0.25">
      <c r="A13" s="22"/>
      <c r="B13" s="24"/>
      <c r="C13" s="29"/>
      <c r="D13" s="29"/>
      <c r="E13" s="29"/>
      <c r="F13" s="24"/>
      <c r="G13" s="24" t="s">
        <v>3</v>
      </c>
      <c r="H13" s="29"/>
      <c r="I13" s="29"/>
      <c r="J13" s="29"/>
      <c r="K13" s="24"/>
      <c r="L13" s="24" t="s">
        <v>3</v>
      </c>
      <c r="M13" s="24" t="s">
        <v>45</v>
      </c>
      <c r="N13" s="24"/>
      <c r="O13" s="24"/>
      <c r="P13" s="24"/>
      <c r="Q13" s="29">
        <v>40482</v>
      </c>
      <c r="R13" s="24" t="s">
        <v>46</v>
      </c>
      <c r="S13" s="29">
        <v>40451</v>
      </c>
      <c r="T13" s="24" t="s">
        <v>47</v>
      </c>
      <c r="U13" s="24"/>
      <c r="V13" s="25"/>
      <c r="W13" s="30"/>
    </row>
    <row r="14" spans="1:23" x14ac:dyDescent="0.25">
      <c r="A14" s="22"/>
      <c r="B14" s="22"/>
      <c r="C14" s="31" t="s">
        <v>48</v>
      </c>
      <c r="D14" s="31" t="s">
        <v>49</v>
      </c>
      <c r="E14" s="31" t="s">
        <v>50</v>
      </c>
      <c r="F14" s="31" t="s">
        <v>51</v>
      </c>
      <c r="G14" s="31" t="s">
        <v>52</v>
      </c>
      <c r="H14" s="31" t="s">
        <v>53</v>
      </c>
      <c r="I14" s="31" t="s">
        <v>54</v>
      </c>
      <c r="J14" s="31" t="s">
        <v>55</v>
      </c>
      <c r="K14" s="31" t="s">
        <v>56</v>
      </c>
      <c r="L14" s="31" t="s">
        <v>57</v>
      </c>
      <c r="M14" s="31" t="s">
        <v>58</v>
      </c>
      <c r="N14" s="31" t="s">
        <v>59</v>
      </c>
      <c r="O14" s="31" t="s">
        <v>60</v>
      </c>
      <c r="P14" s="31" t="s">
        <v>61</v>
      </c>
      <c r="Q14" s="31" t="s">
        <v>62</v>
      </c>
      <c r="R14" s="29">
        <v>40512</v>
      </c>
      <c r="S14" s="31" t="s">
        <v>63</v>
      </c>
      <c r="T14" s="31" t="s">
        <v>64</v>
      </c>
      <c r="U14" s="31"/>
      <c r="V14" s="32"/>
      <c r="W14" s="30"/>
    </row>
    <row r="15" spans="1:23" ht="15.75" thickBot="1" x14ac:dyDescent="0.3">
      <c r="A15" s="33"/>
      <c r="B15" s="33"/>
      <c r="C15" s="34"/>
      <c r="D15" s="34"/>
      <c r="E15" s="34"/>
      <c r="F15" s="34"/>
      <c r="G15" s="34"/>
      <c r="H15" s="34"/>
      <c r="I15" s="34" t="s">
        <v>3</v>
      </c>
      <c r="J15" s="34"/>
      <c r="K15" s="34"/>
      <c r="L15" s="34"/>
      <c r="M15" s="34"/>
      <c r="N15" s="34"/>
      <c r="O15" s="34"/>
      <c r="P15" s="34"/>
      <c r="Q15" s="34"/>
      <c r="R15" s="35" t="s">
        <v>65</v>
      </c>
      <c r="S15" s="34"/>
      <c r="T15" s="34"/>
      <c r="U15" s="34"/>
      <c r="V15" s="36"/>
      <c r="W15" s="37"/>
    </row>
    <row r="16" spans="1:23" x14ac:dyDescent="0.25">
      <c r="A16" s="24">
        <v>1</v>
      </c>
      <c r="B16" s="38" t="s">
        <v>66</v>
      </c>
      <c r="C16" s="39">
        <v>1208950</v>
      </c>
      <c r="D16" s="39">
        <v>1203541</v>
      </c>
      <c r="E16" s="39">
        <v>1237796</v>
      </c>
      <c r="F16" s="40">
        <f>AVERAGE(C16:E16)</f>
        <v>1216762.3333333333</v>
      </c>
      <c r="G16" s="39">
        <f>+F16*11.75%</f>
        <v>142969.57416666666</v>
      </c>
      <c r="H16" s="39">
        <v>1006436</v>
      </c>
      <c r="I16" s="39">
        <v>1013906</v>
      </c>
      <c r="J16" s="39">
        <v>1018813</v>
      </c>
      <c r="K16" s="40">
        <f t="shared" ref="K16:K21" si="0">AVERAGE(H16:J16)</f>
        <v>1013051.6666666666</v>
      </c>
      <c r="L16" s="39">
        <f>+K16*9.25%</f>
        <v>93707.27916666666</v>
      </c>
      <c r="M16" s="39">
        <f>+L16+G16+1</f>
        <v>236677.85333333333</v>
      </c>
      <c r="N16" s="39">
        <v>231742</v>
      </c>
      <c r="O16" s="39">
        <f>IF((M16&lt;N16),(N16-M16),0)</f>
        <v>0</v>
      </c>
      <c r="P16" s="39">
        <f t="shared" ref="P16:P21" si="1">IF((M16&gt;N16),(M16-N16),0)</f>
        <v>4935.8533333333326</v>
      </c>
      <c r="Q16" s="41">
        <v>228618</v>
      </c>
      <c r="R16" s="41">
        <v>377000</v>
      </c>
      <c r="S16" s="41">
        <f>230441+2088</f>
        <v>232529</v>
      </c>
      <c r="T16" s="41">
        <f t="shared" ref="T16:T21" si="2">R16+S16</f>
        <v>609529</v>
      </c>
      <c r="U16" s="42">
        <f t="shared" ref="U16:U21" si="3">Q16/T16</f>
        <v>0.37507321226717677</v>
      </c>
      <c r="V16" s="43">
        <f t="shared" ref="V16:V21" si="4">Q16/S16</f>
        <v>0.98318059252824375</v>
      </c>
      <c r="W16" s="44">
        <f>Q16/R16</f>
        <v>0.60641379310344823</v>
      </c>
    </row>
    <row r="17" spans="1:23" x14ac:dyDescent="0.25">
      <c r="A17" s="24">
        <v>2</v>
      </c>
      <c r="B17" s="38" t="s">
        <v>67</v>
      </c>
      <c r="C17" s="40">
        <v>0</v>
      </c>
      <c r="D17" s="40">
        <v>0</v>
      </c>
      <c r="E17" s="40">
        <v>0</v>
      </c>
      <c r="F17" s="40">
        <f>AVERAGE(C17:E17)</f>
        <v>0</v>
      </c>
      <c r="G17" s="40">
        <f>F17*5%</f>
        <v>0</v>
      </c>
      <c r="H17" s="40">
        <v>0</v>
      </c>
      <c r="I17" s="40">
        <v>0</v>
      </c>
      <c r="J17" s="40">
        <v>0</v>
      </c>
      <c r="K17" s="40">
        <f t="shared" si="0"/>
        <v>0</v>
      </c>
      <c r="L17" s="40">
        <f>K17*3%</f>
        <v>0</v>
      </c>
      <c r="M17" s="40">
        <f>G17+L17</f>
        <v>0</v>
      </c>
      <c r="N17" s="40">
        <v>0</v>
      </c>
      <c r="O17" s="39">
        <f>IF((M17&lt;N17),(N17-M17),0)</f>
        <v>0</v>
      </c>
      <c r="P17" s="39">
        <f t="shared" si="1"/>
        <v>0</v>
      </c>
      <c r="Q17" s="41">
        <v>0</v>
      </c>
      <c r="R17" s="41">
        <v>4000</v>
      </c>
      <c r="S17" s="41">
        <f>5701+400</f>
        <v>6101</v>
      </c>
      <c r="T17" s="41">
        <f t="shared" si="2"/>
        <v>10101</v>
      </c>
      <c r="U17" s="42">
        <f t="shared" si="3"/>
        <v>0</v>
      </c>
      <c r="V17" s="43">
        <f t="shared" si="4"/>
        <v>0</v>
      </c>
      <c r="W17" s="44" t="s">
        <v>68</v>
      </c>
    </row>
    <row r="18" spans="1:23" x14ac:dyDescent="0.25">
      <c r="A18" s="24">
        <v>3</v>
      </c>
      <c r="B18" s="45" t="s">
        <v>69</v>
      </c>
      <c r="C18" s="39">
        <f>86644+293133+143980+121181+52951+11623</f>
        <v>709512</v>
      </c>
      <c r="D18" s="39">
        <f>11680+57852+137016+153343+261119+87528</f>
        <v>708538</v>
      </c>
      <c r="E18" s="39">
        <f>82433+323687+156543+142004+54053+11560</f>
        <v>770280</v>
      </c>
      <c r="F18" s="39">
        <f>AVERAGE(C18:E18)</f>
        <v>729443.33333333337</v>
      </c>
      <c r="G18" s="39">
        <f>F18*14%</f>
        <v>102122.06666666668</v>
      </c>
      <c r="H18" s="39">
        <f>11735+700+26188+40799+43190+6089</f>
        <v>128701</v>
      </c>
      <c r="I18" s="39">
        <f>6062+43013+39291+26188+700+11743</f>
        <v>126997</v>
      </c>
      <c r="J18" s="39">
        <f>11367+700+27083+41218+41899+6112</f>
        <v>128379</v>
      </c>
      <c r="K18" s="39">
        <f t="shared" si="0"/>
        <v>128025.66666666667</v>
      </c>
      <c r="L18" s="39">
        <f>+K18*10.5%</f>
        <v>13442.695</v>
      </c>
      <c r="M18" s="39">
        <f>G18+L18</f>
        <v>115564.76166666669</v>
      </c>
      <c r="N18" s="39">
        <f>12836+47342+24055+22178+7554+2879</f>
        <v>116844</v>
      </c>
      <c r="O18" s="39">
        <f>IF((M18&lt;N18),(N18-M18),0)</f>
        <v>1279.2383333333128</v>
      </c>
      <c r="P18" s="39">
        <f t="shared" si="1"/>
        <v>0</v>
      </c>
      <c r="Q18" s="46">
        <v>111773</v>
      </c>
      <c r="R18" s="47">
        <v>223000</v>
      </c>
      <c r="S18" s="47">
        <f>87223+17679</f>
        <v>104902</v>
      </c>
      <c r="T18" s="47">
        <f>R18+S18</f>
        <v>327902</v>
      </c>
      <c r="U18" s="48">
        <f t="shared" si="3"/>
        <v>0.34087318772072145</v>
      </c>
      <c r="V18" s="49">
        <f t="shared" si="4"/>
        <v>1.065499227850756</v>
      </c>
      <c r="W18" s="50">
        <f>Q18/R18</f>
        <v>0.50122421524663674</v>
      </c>
    </row>
    <row r="19" spans="1:23" x14ac:dyDescent="0.25">
      <c r="A19" s="24">
        <v>4</v>
      </c>
      <c r="B19" s="45" t="s">
        <v>70</v>
      </c>
      <c r="C19" s="40">
        <v>681512</v>
      </c>
      <c r="D19" s="40">
        <v>797225</v>
      </c>
      <c r="E19" s="51">
        <v>766819</v>
      </c>
      <c r="F19" s="51">
        <f>AVERAGE(C19:E19)</f>
        <v>748518.66666666663</v>
      </c>
      <c r="G19" s="51">
        <f>+F19*11.75%</f>
        <v>87950.943333333329</v>
      </c>
      <c r="H19" s="51">
        <v>346740</v>
      </c>
      <c r="I19" s="51">
        <v>348846</v>
      </c>
      <c r="J19" s="51">
        <v>377618</v>
      </c>
      <c r="K19" s="51">
        <f t="shared" si="0"/>
        <v>357734.66666666669</v>
      </c>
      <c r="L19" s="51">
        <f>+K19*9.25%+1</f>
        <v>33091.456666666665</v>
      </c>
      <c r="M19" s="51">
        <f>G19+L19</f>
        <v>121042.4</v>
      </c>
      <c r="N19" s="51">
        <v>115983</v>
      </c>
      <c r="O19" s="39">
        <f t="shared" ref="O19:P23" si="5">IF((M19&lt;N19),(N19-M19),0)</f>
        <v>0</v>
      </c>
      <c r="P19" s="39">
        <f t="shared" si="1"/>
        <v>5059.3999999999942</v>
      </c>
      <c r="Q19" s="47">
        <v>121629</v>
      </c>
      <c r="R19" s="47">
        <v>130000</v>
      </c>
      <c r="S19" s="47">
        <f>4237+132797</f>
        <v>137034</v>
      </c>
      <c r="T19" s="47">
        <f>R19+S19</f>
        <v>267034</v>
      </c>
      <c r="U19" s="48">
        <f t="shared" si="3"/>
        <v>0.45548132447553497</v>
      </c>
      <c r="V19" s="49">
        <f t="shared" si="4"/>
        <v>0.88758264372345552</v>
      </c>
      <c r="W19" s="50">
        <f>Q19/R19</f>
        <v>0.93560769230769236</v>
      </c>
    </row>
    <row r="20" spans="1:23" x14ac:dyDescent="0.25">
      <c r="A20" s="24">
        <v>5</v>
      </c>
      <c r="B20" s="38" t="s">
        <v>71</v>
      </c>
      <c r="C20" s="39">
        <v>903370</v>
      </c>
      <c r="D20" s="39">
        <v>942568</v>
      </c>
      <c r="E20" s="51">
        <v>954158</v>
      </c>
      <c r="F20" s="39">
        <f>AVERAGE(C20:E20)+1</f>
        <v>933366.33333333337</v>
      </c>
      <c r="G20" s="39">
        <f>+F20*0.14</f>
        <v>130671.28666666668</v>
      </c>
      <c r="H20" s="39">
        <v>128243</v>
      </c>
      <c r="I20" s="39">
        <v>139324</v>
      </c>
      <c r="J20" s="39">
        <v>139302</v>
      </c>
      <c r="K20" s="39">
        <f t="shared" si="0"/>
        <v>135623</v>
      </c>
      <c r="L20" s="39">
        <f>+K20*10.5%</f>
        <v>14240.414999999999</v>
      </c>
      <c r="M20" s="51">
        <f>G20+L20</f>
        <v>144911.70166666669</v>
      </c>
      <c r="N20" s="39">
        <v>150881</v>
      </c>
      <c r="O20" s="39">
        <f t="shared" si="5"/>
        <v>5969.2983333333104</v>
      </c>
      <c r="P20" s="39">
        <f t="shared" si="1"/>
        <v>0</v>
      </c>
      <c r="Q20" s="41">
        <v>145422</v>
      </c>
      <c r="R20" s="41">
        <v>190000</v>
      </c>
      <c r="S20" s="41">
        <f>1645+187053</f>
        <v>188698</v>
      </c>
      <c r="T20" s="41">
        <f t="shared" si="2"/>
        <v>378698</v>
      </c>
      <c r="U20" s="42">
        <f t="shared" si="3"/>
        <v>0.38400519675308559</v>
      </c>
      <c r="V20" s="43">
        <f t="shared" si="4"/>
        <v>0.77065999639635818</v>
      </c>
      <c r="W20" s="44">
        <f>Q20/R20</f>
        <v>0.76537894736842105</v>
      </c>
    </row>
    <row r="21" spans="1:23" x14ac:dyDescent="0.25">
      <c r="A21" s="24">
        <v>6</v>
      </c>
      <c r="B21" s="38" t="s">
        <v>72</v>
      </c>
      <c r="C21" s="40">
        <v>337762</v>
      </c>
      <c r="D21" s="40">
        <v>337832</v>
      </c>
      <c r="E21" s="40">
        <v>334884</v>
      </c>
      <c r="F21" s="40">
        <f>AVERAGE(C21:E21)-1</f>
        <v>336825</v>
      </c>
      <c r="G21" s="40">
        <f>+F21*7.75%</f>
        <v>26103.9375</v>
      </c>
      <c r="H21" s="40">
        <v>43614</v>
      </c>
      <c r="I21" s="40">
        <v>39327</v>
      </c>
      <c r="J21" s="39">
        <v>39498</v>
      </c>
      <c r="K21" s="39">
        <f t="shared" si="0"/>
        <v>40813</v>
      </c>
      <c r="L21" s="40">
        <f>-1+K21*5.25%+1</f>
        <v>2142.6824999999999</v>
      </c>
      <c r="M21" s="51">
        <f>G21+L21</f>
        <v>28246.62</v>
      </c>
      <c r="N21" s="40">
        <v>28249</v>
      </c>
      <c r="O21" s="39">
        <f t="shared" si="5"/>
        <v>2.3800000000010186</v>
      </c>
      <c r="P21" s="39">
        <f t="shared" si="1"/>
        <v>0</v>
      </c>
      <c r="Q21" s="41">
        <v>27772</v>
      </c>
      <c r="R21" s="41">
        <v>1000</v>
      </c>
      <c r="S21" s="41">
        <f>1965+86389</f>
        <v>88354</v>
      </c>
      <c r="T21" s="41">
        <f t="shared" si="2"/>
        <v>89354</v>
      </c>
      <c r="U21" s="42">
        <f t="shared" si="3"/>
        <v>0.31080869351120261</v>
      </c>
      <c r="V21" s="43">
        <f t="shared" si="4"/>
        <v>0.31432645946985988</v>
      </c>
      <c r="W21" s="44">
        <f>Q21/R21</f>
        <v>27.771999999999998</v>
      </c>
    </row>
    <row r="22" spans="1:23" ht="15.75" thickBot="1" x14ac:dyDescent="0.3">
      <c r="A22" s="24" t="s">
        <v>3</v>
      </c>
      <c r="B22" s="38" t="s">
        <v>3</v>
      </c>
      <c r="C22" s="52"/>
      <c r="D22" s="52" t="s">
        <v>3</v>
      </c>
      <c r="E22" s="52" t="s">
        <v>3</v>
      </c>
      <c r="F22" s="52"/>
      <c r="G22" s="52" t="s">
        <v>3</v>
      </c>
      <c r="H22" s="52" t="s">
        <v>3</v>
      </c>
      <c r="I22" s="52" t="s">
        <v>3</v>
      </c>
      <c r="J22" s="52" t="s">
        <v>3</v>
      </c>
      <c r="K22" s="52"/>
      <c r="L22" s="52"/>
      <c r="M22" s="52"/>
      <c r="N22" s="52" t="s">
        <v>3</v>
      </c>
      <c r="O22" s="52"/>
      <c r="P22" s="52"/>
      <c r="Q22" s="53" t="s">
        <v>3</v>
      </c>
      <c r="R22" s="53"/>
      <c r="S22" s="53"/>
      <c r="T22" s="53"/>
      <c r="U22" s="42" t="s">
        <v>3</v>
      </c>
      <c r="V22" s="43" t="s">
        <v>3</v>
      </c>
      <c r="W22" s="44"/>
    </row>
    <row r="23" spans="1:23" x14ac:dyDescent="0.25">
      <c r="A23" s="24"/>
      <c r="B23" s="45" t="s">
        <v>73</v>
      </c>
      <c r="C23" s="54">
        <f>SUM(C16:C21)</f>
        <v>3841106</v>
      </c>
      <c r="D23" s="54">
        <f t="shared" ref="D23:L23" si="6">SUM(D16:D22)</f>
        <v>3989704</v>
      </c>
      <c r="E23" s="54">
        <f t="shared" si="6"/>
        <v>4063937</v>
      </c>
      <c r="F23" s="54">
        <f t="shared" si="6"/>
        <v>3964915.6666666665</v>
      </c>
      <c r="G23" s="54">
        <f t="shared" si="6"/>
        <v>489817.80833333335</v>
      </c>
      <c r="H23" s="54">
        <f>SUM(H16:H22)</f>
        <v>1653734</v>
      </c>
      <c r="I23" s="54">
        <f>SUM(I16:I22)</f>
        <v>1668400</v>
      </c>
      <c r="J23" s="54">
        <f>SUM(J16:J22)</f>
        <v>1703610</v>
      </c>
      <c r="K23" s="54">
        <f>SUM(K16:K22)+1</f>
        <v>1675249</v>
      </c>
      <c r="L23" s="54">
        <f t="shared" si="6"/>
        <v>156624.52833333332</v>
      </c>
      <c r="M23" s="55">
        <f>SUM(M16:M22)</f>
        <v>646443.33666666667</v>
      </c>
      <c r="N23" s="54">
        <f>SUM(N16:N22)+1</f>
        <v>643700</v>
      </c>
      <c r="O23" s="39">
        <f t="shared" si="5"/>
        <v>0</v>
      </c>
      <c r="P23" s="39">
        <f t="shared" si="5"/>
        <v>0</v>
      </c>
      <c r="Q23" s="55">
        <f>SUM(Q16:Q21)</f>
        <v>635214</v>
      </c>
      <c r="R23" s="55">
        <f>SUM(R16:R21)</f>
        <v>925000</v>
      </c>
      <c r="S23" s="41">
        <f>SUM(S16:S22)</f>
        <v>757618</v>
      </c>
      <c r="T23" s="41">
        <f>SUM(T16:T22)</f>
        <v>1682618</v>
      </c>
      <c r="U23" s="56">
        <f>Q23/T23</f>
        <v>0.37751527678890873</v>
      </c>
      <c r="V23" s="57">
        <f>Q23/S23</f>
        <v>0.83843572882376083</v>
      </c>
      <c r="W23" s="58">
        <f>Q23/R23</f>
        <v>0.6867178378378378</v>
      </c>
    </row>
    <row r="24" spans="1:23" x14ac:dyDescent="0.25">
      <c r="A24" s="24"/>
      <c r="B24" s="45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4"/>
      <c r="O24" s="55"/>
      <c r="P24" s="55"/>
      <c r="Q24" s="55"/>
      <c r="R24" s="55"/>
      <c r="S24" s="41"/>
      <c r="T24" s="41"/>
      <c r="U24" s="42"/>
      <c r="V24" s="43"/>
      <c r="W24" s="44"/>
    </row>
    <row r="25" spans="1:23" ht="15.75" thickBo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59"/>
      <c r="P25" s="60"/>
      <c r="Q25" s="33"/>
      <c r="R25" s="33"/>
      <c r="S25" s="33"/>
      <c r="T25" s="33"/>
      <c r="U25" s="33"/>
      <c r="V25" s="61"/>
      <c r="W25" s="62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63" t="s">
        <v>74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spans="1:23" x14ac:dyDescent="0.25">
      <c r="A28" s="1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</row>
  </sheetData>
  <mergeCells count="9">
    <mergeCell ref="B27:W27"/>
    <mergeCell ref="B28:W28"/>
    <mergeCell ref="A2:W2"/>
    <mergeCell ref="B4:W4"/>
    <mergeCell ref="B7:F7"/>
    <mergeCell ref="R7:W7"/>
    <mergeCell ref="C9:G9"/>
    <mergeCell ref="H9:L9"/>
    <mergeCell ref="O9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2011-05-05T09:48:24Z</dcterms:created>
  <dcterms:modified xsi:type="dcterms:W3CDTF">2011-05-05T09:50:20Z</dcterms:modified>
</cp:coreProperties>
</file>